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tntexperts-my.sharepoint.com/personal/b_nuismer_xtnt_nl/Documents/"/>
    </mc:Choice>
  </mc:AlternateContent>
  <xr:revisionPtr revIDLastSave="0" documentId="8_{B9277210-83E1-42C0-8A5C-AE2C0630B30E}" xr6:coauthVersionLast="47" xr6:coauthVersionMax="47" xr10:uidLastSave="{00000000-0000-0000-0000-000000000000}"/>
  <bookViews>
    <workbookView xWindow="28680" yWindow="-120" windowWidth="29040" windowHeight="15720" xr2:uid="{AA56F469-A468-4A46-A7BD-21BF42447364}"/>
  </bookViews>
  <sheets>
    <sheet name="Invul vel" sheetId="1" r:id="rId1"/>
    <sheet name="Berekeningen" sheetId="5" state="hidden" r:id="rId2"/>
    <sheet name="Vaste kosten" sheetId="9" state="hidden" r:id="rId3"/>
    <sheet name="Invul tabel" sheetId="3" state="hidden" r:id="rId4"/>
  </sheets>
  <definedNames>
    <definedName name="_xlnm.Print_Area" localSheetId="0">'Invul vel'!$A$1:$N$44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C8" i="5" l="1"/>
  <c r="K8" i="5"/>
  <c r="G8" i="5"/>
  <c r="C13" i="5"/>
  <c r="C14" i="5" l="1"/>
  <c r="D23" i="5" l="1"/>
  <c r="B23" i="5"/>
  <c r="C19" i="5"/>
  <c r="D25" i="5"/>
  <c r="D30" i="5"/>
  <c r="B25" i="5"/>
  <c r="B24" i="5"/>
  <c r="D31" i="5"/>
  <c r="D32" i="5"/>
  <c r="D24" i="5"/>
  <c r="C16" i="5"/>
  <c r="B32" i="5"/>
  <c r="B30" i="5"/>
  <c r="B31" i="5"/>
  <c r="H23" i="5" l="1"/>
  <c r="F23" i="5"/>
  <c r="F36" i="5" s="1"/>
  <c r="E23" i="5"/>
  <c r="E31" i="5"/>
  <c r="E32" i="5"/>
  <c r="E30" i="5"/>
  <c r="E24" i="5"/>
  <c r="E25" i="5"/>
  <c r="H25" i="5"/>
  <c r="H24" i="5"/>
  <c r="F32" i="5"/>
  <c r="H32" i="5"/>
  <c r="H31" i="5"/>
  <c r="F31" i="5"/>
  <c r="F30" i="5"/>
  <c r="H30" i="5"/>
  <c r="C17" i="5"/>
  <c r="C23" i="5"/>
  <c r="M32" i="5"/>
  <c r="M24" i="5"/>
  <c r="M23" i="5"/>
  <c r="E21" i="1" s="1"/>
  <c r="M25" i="5"/>
  <c r="M31" i="5"/>
  <c r="M30" i="5"/>
  <c r="C18" i="5"/>
  <c r="K31" i="5"/>
  <c r="L31" i="5" s="1"/>
  <c r="K32" i="5"/>
  <c r="L32" i="5" s="1"/>
  <c r="K25" i="5"/>
  <c r="L25" i="5" s="1"/>
  <c r="K30" i="5"/>
  <c r="K24" i="5"/>
  <c r="L24" i="5" s="1"/>
  <c r="K23" i="5"/>
  <c r="C31" i="5"/>
  <c r="C25" i="5"/>
  <c r="C30" i="5"/>
  <c r="C24" i="5"/>
  <c r="C32" i="5"/>
  <c r="F25" i="5"/>
  <c r="F38" i="5" s="1"/>
  <c r="F39" i="5" l="1"/>
  <c r="J14" i="5" s="1"/>
  <c r="G24" i="5"/>
  <c r="F40" i="5"/>
  <c r="K14" i="5" s="1"/>
  <c r="G32" i="5"/>
  <c r="I32" i="5" s="1"/>
  <c r="J32" i="5" s="1"/>
  <c r="G23" i="5"/>
  <c r="G30" i="5"/>
  <c r="I30" i="5" s="1"/>
  <c r="G31" i="5"/>
  <c r="I31" i="5" s="1"/>
  <c r="G25" i="5"/>
  <c r="I25" i="5" s="1"/>
  <c r="L30" i="5"/>
  <c r="C10" i="3" s="1"/>
  <c r="L23" i="5"/>
  <c r="C9" i="3" s="1"/>
  <c r="F24" i="5"/>
  <c r="J16" i="5" l="1"/>
  <c r="B21" i="1"/>
  <c r="K16" i="5"/>
  <c r="I24" i="5"/>
  <c r="F37" i="5"/>
  <c r="J30" i="5"/>
  <c r="J31" i="5"/>
  <c r="I23" i="5"/>
  <c r="D20" i="1" l="1"/>
  <c r="J15" i="5"/>
  <c r="K15" i="5"/>
  <c r="J24" i="5"/>
  <c r="J25" i="5"/>
  <c r="J23" i="5"/>
  <c r="C6" i="3"/>
  <c r="C4" i="3"/>
  <c r="B20" i="1" l="1"/>
  <c r="C5" i="3"/>
</calcChain>
</file>

<file path=xl/sharedStrings.xml><?xml version="1.0" encoding="utf-8"?>
<sst xmlns="http://schemas.openxmlformats.org/spreadsheetml/2006/main" count="141" uniqueCount="49">
  <si>
    <t>Kosten auto</t>
  </si>
  <si>
    <t>Kostenpost</t>
  </si>
  <si>
    <t>Kosten per jaar</t>
  </si>
  <si>
    <t>Type kosten</t>
  </si>
  <si>
    <t>Bron</t>
  </si>
  <si>
    <t>Aanschaf en afschrijving</t>
  </si>
  <si>
    <t>Vast</t>
  </si>
  <si>
    <t>Nibud</t>
  </si>
  <si>
    <t>Overige kosten</t>
  </si>
  <si>
    <t>Pendle</t>
  </si>
  <si>
    <t>Motorrijtuigenbelasting</t>
  </si>
  <si>
    <t>Verzekering</t>
  </si>
  <si>
    <t>Variable kosten per km</t>
  </si>
  <si>
    <t>Variabel</t>
  </si>
  <si>
    <t>Brandstofkosten per km</t>
  </si>
  <si>
    <t>Eigen berekening</t>
  </si>
  <si>
    <t>Kosten fiets</t>
  </si>
  <si>
    <t>Onderhoud en reparatie</t>
  </si>
  <si>
    <t>Aantal werkdagen per jaar</t>
  </si>
  <si>
    <t>Besparing per jaar</t>
  </si>
  <si>
    <t>Besparing per maand</t>
  </si>
  <si>
    <t>Verbrandde calorieën</t>
  </si>
  <si>
    <t>Verbrandde calorieën in hamburgers</t>
  </si>
  <si>
    <t>Bespaarde CO2 in boom inname</t>
  </si>
  <si>
    <t>Fiets</t>
  </si>
  <si>
    <t>Kosten e-fiets</t>
  </si>
  <si>
    <t>Kosten kleine auto</t>
  </si>
  <si>
    <t>Kosten middengrote auto</t>
  </si>
  <si>
    <t>Kosten grote auto</t>
  </si>
  <si>
    <t>Elektrische fiets</t>
  </si>
  <si>
    <t>Kleine auto (bijvoorbeeld een Citroën C1)</t>
  </si>
  <si>
    <t>Grote auto (bijvoorbeeld een Peugeot 508)</t>
  </si>
  <si>
    <t>Type auto</t>
  </si>
  <si>
    <t>Middelgrote auto (bijvoorbeeld een Volkswagen Polo)</t>
  </si>
  <si>
    <t>Gewone fiets</t>
  </si>
  <si>
    <t>Variabele kosten per km</t>
  </si>
  <si>
    <t>Middelgrote auto (bijvoorbeeld een Audi A3)</t>
  </si>
  <si>
    <t>Auto woon werk vergoed</t>
  </si>
  <si>
    <t>Fiets woon werk vergoed</t>
  </si>
  <si>
    <t>Opbrengst auto</t>
  </si>
  <si>
    <t>Opbrengst fiets</t>
  </si>
  <si>
    <t>Auto woon werk totaal</t>
  </si>
  <si>
    <t>Fiets woon werk totaal</t>
  </si>
  <si>
    <t>Woon werk km per jaar vergoed</t>
  </si>
  <si>
    <t>Elektische fiets</t>
  </si>
  <si>
    <t>Totaal auto</t>
  </si>
  <si>
    <t>Alleen auto</t>
  </si>
  <si>
    <t>Auto deels scenario</t>
  </si>
  <si>
    <t>Fiets en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</si>
</sst>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.000_ ;_ &quot;€&quot;\ * \-#,##0.000_ ;_ &quot;€&quot;\ * &quot;-&quot;??_ ;_ @_ "/>
    <numFmt numFmtId="165" formatCode="_ &quot;€&quot;\ * #,##0.0000_ ;_ &quot;€&quot;\ * \-#,##0.00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0A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0" applyNumberFormat="1"/>
    <xf numFmtId="44" fontId="0" fillId="0" borderId="0" xfId="1" applyFont="1"/>
    <xf numFmtId="0" fontId="2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/>
    <xf numFmtId="0" fontId="3" fillId="2" borderId="1" xfId="2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0" xfId="1" applyNumberFormat="1" applyFont="1"/>
    <xf numFmtId="165" fontId="0" fillId="0" borderId="0" xfId="1" applyNumberFormat="1" applyFont="1"/>
    <xf numFmtId="44" fontId="0" fillId="0" borderId="0" xfId="2" applyFont="1"/>
  </cellXfs>
  <cellStyles count="3">
    <cellStyle name="Standaard" xfId="0" builtinId="0"/>
    <cellStyle name="Valuta" xfId="2" builtinId="4"/>
    <cellStyle name="Valuta 2" xfId="1" xr:uid="{C7703C19-4C34-475A-B0E2-5281C701FBEC}"/>
  </cellStyles>
  <dxfs count="2">
    <dxf>
      <numFmt numFmtId="34" formatCode="_ &quot;€&quot;\ * #,##0.00_ ;_ &quot;€&quot;\ * \-#,##0.00_ ;_ &quot;€&quot;\ * &quot;-&quot;??_ ;_ @_ 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0AB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1877868</xdr:colOff>
      <xdr:row>5</xdr:row>
      <xdr:rowOff>121708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F6FF2F6-5404-F428-A1D1-A8A6C52BD5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9148" b="76311"/>
        <a:stretch/>
      </xdr:blipFill>
      <xdr:spPr>
        <a:xfrm>
          <a:off x="0" y="0"/>
          <a:ext cx="6865504" cy="16662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6350</xdr:rowOff>
    </xdr:from>
    <xdr:to>
      <xdr:col>4</xdr:col>
      <xdr:colOff>371997</xdr:colOff>
      <xdr:row>18</xdr:row>
      <xdr:rowOff>190500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8A419816-0EE9-4750-A2C7-67BA88AB0D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4107" r="64844" b="40774"/>
        <a:stretch/>
      </xdr:blipFill>
      <xdr:spPr>
        <a:xfrm>
          <a:off x="0" y="3839441"/>
          <a:ext cx="4752713" cy="3688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1054100</xdr:colOff>
      <xdr:row>19</xdr:row>
      <xdr:rowOff>277668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3919E163-0C0A-4AB7-8A31-3960752FE4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9768" r="92152" b="36441"/>
        <a:stretch/>
      </xdr:blipFill>
      <xdr:spPr>
        <a:xfrm>
          <a:off x="0" y="4277591"/>
          <a:ext cx="1060450" cy="271318"/>
        </a:xfrm>
        <a:prstGeom prst="rect">
          <a:avLst/>
        </a:prstGeom>
      </xdr:spPr>
    </xdr:pic>
    <xdr:clientData/>
  </xdr:twoCellAnchor>
  <xdr:twoCellAnchor editAs="oneCell">
    <xdr:from>
      <xdr:col>2</xdr:col>
      <xdr:colOff>23669</xdr:colOff>
      <xdr:row>19</xdr:row>
      <xdr:rowOff>12700</xdr:rowOff>
    </xdr:from>
    <xdr:to>
      <xdr:col>2</xdr:col>
      <xdr:colOff>1541319</xdr:colOff>
      <xdr:row>20</xdr:row>
      <xdr:rowOff>8659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096C889-CFF1-4E73-9874-680E731FAA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626" t="59756" r="75142" b="36184"/>
        <a:stretch/>
      </xdr:blipFill>
      <xdr:spPr>
        <a:xfrm>
          <a:off x="1784351" y="4290291"/>
          <a:ext cx="1517650" cy="290368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19</xdr:row>
      <xdr:rowOff>0</xdr:rowOff>
    </xdr:from>
    <xdr:to>
      <xdr:col>5</xdr:col>
      <xdr:colOff>11546</xdr:colOff>
      <xdr:row>19</xdr:row>
      <xdr:rowOff>265545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B6F8E57-155D-4C76-8C29-1210E45455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789" t="59756" r="61790" b="36532"/>
        <a:stretch/>
      </xdr:blipFill>
      <xdr:spPr>
        <a:xfrm>
          <a:off x="4089400" y="4277591"/>
          <a:ext cx="598055" cy="265545"/>
        </a:xfrm>
        <a:prstGeom prst="rect">
          <a:avLst/>
        </a:prstGeom>
      </xdr:spPr>
    </xdr:pic>
    <xdr:clientData/>
  </xdr:twoCellAnchor>
  <xdr:twoCellAnchor editAs="oneCell">
    <xdr:from>
      <xdr:col>5</xdr:col>
      <xdr:colOff>26748</xdr:colOff>
      <xdr:row>19</xdr:row>
      <xdr:rowOff>294407</xdr:rowOff>
    </xdr:from>
    <xdr:to>
      <xdr:col>6</xdr:col>
      <xdr:colOff>240722</xdr:colOff>
      <xdr:row>20</xdr:row>
      <xdr:rowOff>279206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A1AC9317-1280-4DFE-AFC9-247321EC47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305" t="59756" r="20248" b="36272"/>
        <a:stretch/>
      </xdr:blipFill>
      <xdr:spPr>
        <a:xfrm>
          <a:off x="4831581" y="4538324"/>
          <a:ext cx="3705706" cy="28113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19</xdr:row>
      <xdr:rowOff>272471</xdr:rowOff>
    </xdr:from>
    <xdr:to>
      <xdr:col>2</xdr:col>
      <xdr:colOff>1244600</xdr:colOff>
      <xdr:row>20</xdr:row>
      <xdr:rowOff>274780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C4E1CB3B-3E85-4CF6-983A-A0B3EE711D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450" t="64257" r="35527" b="31595"/>
        <a:stretch/>
      </xdr:blipFill>
      <xdr:spPr>
        <a:xfrm>
          <a:off x="1786082" y="4550062"/>
          <a:ext cx="1219200" cy="2967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287769</xdr:rowOff>
    </xdr:from>
    <xdr:to>
      <xdr:col>0</xdr:col>
      <xdr:colOff>1054100</xdr:colOff>
      <xdr:row>21</xdr:row>
      <xdr:rowOff>18759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8738F5E5-894B-4679-BEBC-A73810C76F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4499" r="92152" b="31065"/>
        <a:stretch/>
      </xdr:blipFill>
      <xdr:spPr>
        <a:xfrm>
          <a:off x="0" y="4526394"/>
          <a:ext cx="1057275" cy="312015"/>
        </a:xfrm>
        <a:prstGeom prst="rect">
          <a:avLst/>
        </a:prstGeom>
      </xdr:spPr>
    </xdr:pic>
    <xdr:clientData/>
  </xdr:twoCellAnchor>
  <xdr:twoCellAnchor editAs="oneCell">
    <xdr:from>
      <xdr:col>2</xdr:col>
      <xdr:colOff>1230842</xdr:colOff>
      <xdr:row>20</xdr:row>
      <xdr:rowOff>25854</xdr:rowOff>
    </xdr:from>
    <xdr:to>
      <xdr:col>3</xdr:col>
      <xdr:colOff>764020</xdr:colOff>
      <xdr:row>21</xdr:row>
      <xdr:rowOff>11944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FE7D2AD7-9AE9-4305-ABE1-9F2CDC2C5F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978" t="60036" r="52817" b="35959"/>
        <a:stretch/>
      </xdr:blipFill>
      <xdr:spPr>
        <a:xfrm>
          <a:off x="3097742" y="4559754"/>
          <a:ext cx="1111153" cy="268665"/>
        </a:xfrm>
        <a:prstGeom prst="rect">
          <a:avLst/>
        </a:prstGeom>
      </xdr:spPr>
    </xdr:pic>
    <xdr:clientData/>
  </xdr:twoCellAnchor>
  <xdr:twoCellAnchor editAs="oneCell">
    <xdr:from>
      <xdr:col>0</xdr:col>
      <xdr:colOff>278424</xdr:colOff>
      <xdr:row>1</xdr:row>
      <xdr:rowOff>30285</xdr:rowOff>
    </xdr:from>
    <xdr:to>
      <xdr:col>5</xdr:col>
      <xdr:colOff>507349</xdr:colOff>
      <xdr:row>1</xdr:row>
      <xdr:rowOff>391264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83496FA9-01F5-39B5-17BD-8DE29FDC5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424" y="213458"/>
          <a:ext cx="5220595" cy="354629"/>
        </a:xfrm>
        <a:prstGeom prst="rect">
          <a:avLst/>
        </a:prstGeom>
      </xdr:spPr>
    </xdr:pic>
    <xdr:clientData/>
  </xdr:twoCellAnchor>
  <xdr:twoCellAnchor editAs="oneCell">
    <xdr:from>
      <xdr:col>0</xdr:col>
      <xdr:colOff>294409</xdr:colOff>
      <xdr:row>6</xdr:row>
      <xdr:rowOff>75623</xdr:rowOff>
    </xdr:from>
    <xdr:to>
      <xdr:col>4</xdr:col>
      <xdr:colOff>238718</xdr:colOff>
      <xdr:row>16</xdr:row>
      <xdr:rowOff>92075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C835A19-F59D-29A7-7C7B-C74C81817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409" y="1798782"/>
          <a:ext cx="4310800" cy="1912793"/>
        </a:xfrm>
        <a:prstGeom prst="rect">
          <a:avLst/>
        </a:prstGeom>
      </xdr:spPr>
    </xdr:pic>
    <xdr:clientData/>
  </xdr:twoCellAnchor>
  <xdr:twoCellAnchor editAs="oneCell">
    <xdr:from>
      <xdr:col>6</xdr:col>
      <xdr:colOff>41083</xdr:colOff>
      <xdr:row>1</xdr:row>
      <xdr:rowOff>418812</xdr:rowOff>
    </xdr:from>
    <xdr:to>
      <xdr:col>12</xdr:col>
      <xdr:colOff>238417</xdr:colOff>
      <xdr:row>16</xdr:row>
      <xdr:rowOff>92941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EBA6223-6387-1165-1CFC-6ADA24609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44310" y="600653"/>
          <a:ext cx="7242659" cy="31117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E6C058-5C85-416A-8E46-B9BCE9797F55}" name="Tabel1" displayName="Tabel1" ref="B3:C6" totalsRowShown="0" headerRowDxfId="1">
  <autoFilter ref="B3:C6" xr:uid="{BEE6C058-5C85-416A-8E46-B9BCE9797F55}"/>
  <tableColumns count="2">
    <tableColumn id="1" xr3:uid="{80D6D7FB-2234-40E4-9AF6-BFBA7004BCAE}" name="Type auto"/>
    <tableColumn id="2" xr3:uid="{112D2D2B-8533-4FA3-BF7F-6D6A11565070}" name="Besparing per jaar" dataDxfId="0">
      <calculatedColumnFormula>Berekeningen!I23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1D017-8721-4B97-81A7-59B913355DF7}">
  <sheetPr codeName="Blad2"/>
  <dimension ref="A1:Q44"/>
  <sheetViews>
    <sheetView showGridLines="0" tabSelected="1" zoomScale="110" zoomScaleNormal="110" workbookViewId="0">
      <selection activeCell="F16" sqref="F16"/>
    </sheetView>
  </sheetViews>
  <sheetFormatPr defaultColWidth="8.81640625" defaultRowHeight="14.5" x14ac:dyDescent="0.35"/>
  <cols>
    <col min="1" max="1" width="16" customWidth="1"/>
    <col min="2" max="2" width="10.6328125" customWidth="1"/>
    <col min="3" max="3" width="22.6328125" customWidth="1"/>
    <col min="4" max="4" width="13.26953125" customWidth="1"/>
    <col min="6" max="6" width="50.1796875" customWidth="1"/>
    <col min="7" max="7" width="9" customWidth="1"/>
    <col min="8" max="8" width="23" bestFit="1" customWidth="1"/>
    <col min="9" max="9" width="13.453125" customWidth="1"/>
    <col min="10" max="10" width="10.81640625" customWidth="1"/>
    <col min="11" max="11" width="16.453125" customWidth="1"/>
    <col min="12" max="12" width="28" bestFit="1" customWidth="1"/>
    <col min="13" max="13" width="13.1796875" customWidth="1"/>
    <col min="14" max="14" width="14.6328125" bestFit="1" customWidth="1"/>
    <col min="15" max="15" width="11.453125" customWidth="1"/>
    <col min="16" max="16" width="21.1796875" bestFit="1" customWidth="1"/>
    <col min="17" max="17" width="13.453125" bestFit="1" customWidth="1"/>
    <col min="18" max="18" width="10.81640625" bestFit="1" customWidth="1"/>
    <col min="19" max="19" width="15.1796875" bestFit="1" customWidth="1"/>
  </cols>
  <sheetData>
    <row r="1" spans="1:17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64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8.5" customHeigh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17" customHeight="1" x14ac:dyDescent="0.35">
      <c r="A8" s="6"/>
      <c r="B8" s="6"/>
      <c r="C8" s="6"/>
      <c r="E8" s="6"/>
      <c r="F8" s="8" t="s">
        <v>34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7" customHeight="1" x14ac:dyDescent="0.35">
      <c r="A9" s="6"/>
      <c r="B9" s="6"/>
      <c r="C9" s="6"/>
      <c r="E9" s="6"/>
      <c r="F9" s="1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16" customHeight="1" x14ac:dyDescent="0.35">
      <c r="A10" s="6"/>
      <c r="B10" s="6"/>
      <c r="C10" s="6"/>
      <c r="E10" s="6"/>
      <c r="F10" s="9">
        <v>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6" customHeight="1" x14ac:dyDescent="0.35">
      <c r="A11" s="6"/>
      <c r="B11" s="6"/>
      <c r="C11" s="6"/>
      <c r="E11" s="6"/>
      <c r="F11" s="9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35">
      <c r="A12" s="6"/>
      <c r="B12" s="6"/>
      <c r="C12" s="6"/>
      <c r="E12" s="6"/>
      <c r="F12" s="9"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3" customHeight="1" x14ac:dyDescent="0.35">
      <c r="A13" s="6"/>
      <c r="B13" s="6"/>
      <c r="C13" s="6"/>
      <c r="E13" s="6"/>
      <c r="F13" s="10"/>
      <c r="G13" s="7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16.5" customHeight="1" x14ac:dyDescent="0.35">
      <c r="A14" s="6"/>
      <c r="B14" s="6"/>
      <c r="C14" s="6"/>
      <c r="E14" s="6"/>
      <c r="F14" s="9">
        <v>0</v>
      </c>
      <c r="G14" s="7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16.5" customHeight="1" x14ac:dyDescent="0.35">
      <c r="A15" s="6"/>
      <c r="B15" s="6"/>
      <c r="C15" s="6"/>
      <c r="E15" s="6"/>
      <c r="F15" s="11">
        <v>0.21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6" customHeight="1" x14ac:dyDescent="0.35">
      <c r="A16" s="6"/>
      <c r="B16" s="6"/>
      <c r="C16" s="6"/>
      <c r="E16" s="6"/>
      <c r="F16" s="11">
        <v>0.21</v>
      </c>
      <c r="G16" s="7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35">
      <c r="A17" s="6"/>
      <c r="B17" s="6"/>
      <c r="C17" s="6"/>
      <c r="D17" s="6"/>
      <c r="E17" s="6"/>
      <c r="F17" s="6"/>
      <c r="G17" s="7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35"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20.5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23" customHeight="1" x14ac:dyDescent="0.35">
      <c r="A20" s="6"/>
      <c r="B20" s="12">
        <f>D20/12</f>
        <v>0</v>
      </c>
      <c r="C20" s="6"/>
      <c r="D20" s="12">
        <f>INDEX(Berekeningen!$J$14:$K$16,MATCH(F9,Berekeningen!$I$14:$I$16,0),MATCH(F8,Berekeningen!$J$13:$K$13,0))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22.5" customHeight="1" x14ac:dyDescent="0.35">
      <c r="A21" s="6"/>
      <c r="B21" s="13">
        <f>VLOOKUP(F8,'Invul tabel'!B9:C10,2,FALSE)</f>
        <v>0</v>
      </c>
      <c r="C21" s="6"/>
      <c r="D21" s="6"/>
      <c r="E21" s="13">
        <f>Berekeningen!M23</f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20" customHeigh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</sheetData>
  <sheetProtection algorithmName="SHA-512" hashValue="FXHosLcV5HRtwUbHc+qsBZznjzTxvcTPAg99XY5Eq214VfoUC+aHcgK90KQ2uKIDhM+enfsb6TiJKbVyao9now==" saltValue="0Pzs5WagTcsy1C68HC1cQQ==" spinCount="100000" sheet="1" objects="1" scenarios="1"/>
  <protectedRanges>
    <protectedRange sqref="F8:F12 F14:F16" name="Bereik1"/>
  </protectedRanges>
  <dataValidations count="1">
    <dataValidation type="whole" operator="lessThanOrEqual" allowBlank="1" showInputMessage="1" showErrorMessage="1" sqref="F10" xr:uid="{3AEAC25B-130A-4E34-9513-6933E4C017EF}">
      <formula1>5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8F34684-918B-488C-9B31-14F957D32CA2}">
          <x14:formula1>
            <xm:f>Berekeningen!$B$1:$B$3</xm:f>
          </x14:formula1>
          <xm:sqref>F9</xm:sqref>
        </x14:dataValidation>
        <x14:dataValidation type="list" allowBlank="1" showInputMessage="1" showErrorMessage="1" xr:uid="{A98A02AE-0FE0-4221-BCCE-04F84DA06D23}">
          <x14:formula1>
            <xm:f>Berekeningen!$A$1:$A$2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3B509-713C-4B6F-97D5-6C1E032C8BE4}">
  <dimension ref="A1:O40"/>
  <sheetViews>
    <sheetView zoomScale="70" zoomScaleNormal="70" workbookViewId="0">
      <selection activeCell="J13" sqref="J13"/>
    </sheetView>
  </sheetViews>
  <sheetFormatPr defaultColWidth="8.81640625" defaultRowHeight="14.5" x14ac:dyDescent="0.35"/>
  <cols>
    <col min="2" max="2" width="46.1796875" bestFit="1" customWidth="1"/>
    <col min="3" max="3" width="14.6328125" bestFit="1" customWidth="1"/>
    <col min="4" max="4" width="18.1796875" customWidth="1"/>
    <col min="5" max="5" width="15.90625" customWidth="1"/>
    <col min="6" max="6" width="23" customWidth="1"/>
    <col min="7" max="7" width="23.54296875" customWidth="1"/>
    <col min="8" max="8" width="14.81640625" customWidth="1"/>
    <col min="9" max="9" width="21.08984375" customWidth="1"/>
    <col min="10" max="10" width="21.1796875" bestFit="1" customWidth="1"/>
    <col min="11" max="11" width="30.54296875" customWidth="1"/>
    <col min="12" max="12" width="35.36328125" customWidth="1"/>
    <col min="13" max="13" width="12.36328125" customWidth="1"/>
    <col min="14" max="14" width="36.36328125" bestFit="1" customWidth="1"/>
    <col min="15" max="15" width="16" bestFit="1" customWidth="1"/>
    <col min="17" max="17" width="15.54296875" bestFit="1" customWidth="1"/>
    <col min="18" max="18" width="10.08984375" bestFit="1" customWidth="1"/>
    <col min="19" max="19" width="10.1796875" bestFit="1" customWidth="1"/>
  </cols>
  <sheetData>
    <row r="1" spans="1:15" x14ac:dyDescent="0.35">
      <c r="A1" t="s">
        <v>34</v>
      </c>
      <c r="B1" t="s">
        <v>30</v>
      </c>
    </row>
    <row r="2" spans="1:15" x14ac:dyDescent="0.35">
      <c r="A2" t="s">
        <v>29</v>
      </c>
      <c r="B2" t="s">
        <v>36</v>
      </c>
    </row>
    <row r="3" spans="1:15" x14ac:dyDescent="0.35">
      <c r="B3" t="s">
        <v>31</v>
      </c>
    </row>
    <row r="6" spans="1:15" x14ac:dyDescent="0.35">
      <c r="B6" t="s">
        <v>30</v>
      </c>
      <c r="F6" t="s">
        <v>36</v>
      </c>
      <c r="J6" t="s">
        <v>31</v>
      </c>
    </row>
    <row r="7" spans="1:15" x14ac:dyDescent="0.35">
      <c r="A7" t="s">
        <v>7</v>
      </c>
      <c r="B7" t="s">
        <v>12</v>
      </c>
      <c r="C7" s="2">
        <v>0.1</v>
      </c>
      <c r="D7" t="s">
        <v>13</v>
      </c>
      <c r="F7" t="s">
        <v>12</v>
      </c>
      <c r="G7" s="2">
        <v>0.1</v>
      </c>
      <c r="H7" t="s">
        <v>13</v>
      </c>
      <c r="J7" t="s">
        <v>12</v>
      </c>
      <c r="K7" s="2">
        <v>0.1</v>
      </c>
      <c r="L7" t="s">
        <v>13</v>
      </c>
    </row>
    <row r="8" spans="1:15" x14ac:dyDescent="0.35">
      <c r="A8" t="s">
        <v>15</v>
      </c>
      <c r="B8" t="s">
        <v>14</v>
      </c>
      <c r="C8" s="2">
        <f>2.05/15</f>
        <v>0.13666666666666666</v>
      </c>
      <c r="D8" t="s">
        <v>13</v>
      </c>
      <c r="F8" t="s">
        <v>14</v>
      </c>
      <c r="G8" s="2">
        <f>2.05/12</f>
        <v>0.17083333333333331</v>
      </c>
      <c r="H8" t="s">
        <v>13</v>
      </c>
      <c r="J8" t="s">
        <v>14</v>
      </c>
      <c r="K8" s="2">
        <f>2.05/10</f>
        <v>0.20499999999999999</v>
      </c>
      <c r="L8" t="s">
        <v>13</v>
      </c>
    </row>
    <row r="9" spans="1:15" x14ac:dyDescent="0.35">
      <c r="C9" s="2"/>
      <c r="G9" s="2"/>
    </row>
    <row r="10" spans="1:15" x14ac:dyDescent="0.35">
      <c r="B10" t="s">
        <v>24</v>
      </c>
      <c r="F10" t="s">
        <v>44</v>
      </c>
    </row>
    <row r="11" spans="1:15" x14ac:dyDescent="0.35">
      <c r="B11" t="s">
        <v>35</v>
      </c>
      <c r="C11" s="15">
        <v>1E-3</v>
      </c>
      <c r="D11" t="s">
        <v>13</v>
      </c>
      <c r="F11" t="s">
        <v>35</v>
      </c>
      <c r="G11" s="16">
        <v>1.6000000000000001E-3</v>
      </c>
      <c r="H11" t="s">
        <v>13</v>
      </c>
    </row>
    <row r="12" spans="1:15" x14ac:dyDescent="0.35">
      <c r="O12" s="1"/>
    </row>
    <row r="13" spans="1:15" x14ac:dyDescent="0.35">
      <c r="B13" t="s">
        <v>18</v>
      </c>
      <c r="C13">
        <f>'Invul vel'!F10*47</f>
        <v>235</v>
      </c>
      <c r="J13" t="s">
        <v>34</v>
      </c>
      <c r="K13" t="s">
        <v>29</v>
      </c>
      <c r="O13" s="1"/>
    </row>
    <row r="14" spans="1:15" x14ac:dyDescent="0.35">
      <c r="B14" t="s">
        <v>43</v>
      </c>
      <c r="C14">
        <f>C13*(('Invul vel'!F11-'Invul vel'!F12)*2)</f>
        <v>0</v>
      </c>
      <c r="I14" t="s">
        <v>30</v>
      </c>
      <c r="J14" s="1">
        <f>$F$39-F36</f>
        <v>0</v>
      </c>
      <c r="K14" s="1">
        <f>$F$40-F36</f>
        <v>0</v>
      </c>
      <c r="O14" s="1"/>
    </row>
    <row r="15" spans="1:15" x14ac:dyDescent="0.35">
      <c r="B15" t="s">
        <v>41</v>
      </c>
      <c r="C15">
        <f>C13*(('Invul vel'!F11-'Invul vel'!F12)*2)</f>
        <v>0</v>
      </c>
      <c r="I15" t="s">
        <v>36</v>
      </c>
      <c r="J15" s="1">
        <f t="shared" ref="J15:J16" si="0">$F$39-F37</f>
        <v>0</v>
      </c>
      <c r="K15" s="1">
        <f t="shared" ref="K15:K16" si="1">$F$40-F37</f>
        <v>0</v>
      </c>
    </row>
    <row r="16" spans="1:15" x14ac:dyDescent="0.35">
      <c r="B16" t="s">
        <v>42</v>
      </c>
      <c r="C16">
        <f>C15*('Invul vel'!F14/'Invul vel'!F10)</f>
        <v>0</v>
      </c>
      <c r="I16" t="s">
        <v>31</v>
      </c>
      <c r="J16" s="1">
        <f t="shared" si="0"/>
        <v>0</v>
      </c>
      <c r="K16" s="1">
        <f t="shared" si="1"/>
        <v>0</v>
      </c>
    </row>
    <row r="17" spans="2:13" x14ac:dyDescent="0.35">
      <c r="B17" t="s">
        <v>47</v>
      </c>
      <c r="C17">
        <f>C15-C16</f>
        <v>0</v>
      </c>
    </row>
    <row r="18" spans="2:13" x14ac:dyDescent="0.35">
      <c r="B18" t="s">
        <v>37</v>
      </c>
      <c r="C18">
        <f>C14-C19</f>
        <v>0</v>
      </c>
    </row>
    <row r="19" spans="2:13" x14ac:dyDescent="0.35">
      <c r="B19" t="s">
        <v>38</v>
      </c>
      <c r="C19">
        <f>('Invul vel'!F14/'Invul vel'!F10)*C14</f>
        <v>0</v>
      </c>
    </row>
    <row r="21" spans="2:13" x14ac:dyDescent="0.35">
      <c r="B21" t="s">
        <v>24</v>
      </c>
    </row>
    <row r="22" spans="2:13" x14ac:dyDescent="0.35">
      <c r="B22" t="s">
        <v>0</v>
      </c>
      <c r="C22" t="s">
        <v>16</v>
      </c>
      <c r="D22" t="s">
        <v>39</v>
      </c>
      <c r="E22" s="5" t="s">
        <v>40</v>
      </c>
      <c r="F22" t="s">
        <v>46</v>
      </c>
      <c r="G22" t="s">
        <v>48</v>
      </c>
      <c r="H22" t="s">
        <v>45</v>
      </c>
      <c r="I22" s="5" t="s">
        <v>19</v>
      </c>
      <c r="J22" t="s">
        <v>20</v>
      </c>
      <c r="K22" t="s">
        <v>21</v>
      </c>
      <c r="L22" t="s">
        <v>22</v>
      </c>
      <c r="M22" t="s">
        <v>23</v>
      </c>
    </row>
    <row r="23" spans="2:13" x14ac:dyDescent="0.35">
      <c r="B23" s="1">
        <f>C14*SUM(C7:C8)</f>
        <v>0</v>
      </c>
      <c r="C23" s="1">
        <f>$C$11*$C$16</f>
        <v>0</v>
      </c>
      <c r="D23" s="1">
        <f>$C$14*'Invul vel'!$F$15</f>
        <v>0</v>
      </c>
      <c r="E23" s="1">
        <f>$C$19*'Invul vel'!$F$16</f>
        <v>0</v>
      </c>
      <c r="F23" s="1">
        <f>D23-B23</f>
        <v>0</v>
      </c>
      <c r="G23" s="1">
        <f>D23+E23-(C23+B23)</f>
        <v>0</v>
      </c>
      <c r="H23" s="1">
        <f t="shared" ref="H23:H25" si="2">D23-B23</f>
        <v>0</v>
      </c>
      <c r="I23" s="17">
        <f>G23-F23</f>
        <v>0</v>
      </c>
      <c r="J23" s="1">
        <f>Berekeningen!I23/12</f>
        <v>0</v>
      </c>
      <c r="K23" s="4">
        <f>($C$19*28)/365</f>
        <v>0</v>
      </c>
      <c r="L23" s="4">
        <f>(K23*365)/294.9</f>
        <v>0</v>
      </c>
      <c r="M23" s="4">
        <f>($C$19*99)/2500</f>
        <v>0</v>
      </c>
    </row>
    <row r="24" spans="2:13" x14ac:dyDescent="0.35">
      <c r="B24" s="1">
        <f>C14*SUM(G7:G8)</f>
        <v>0</v>
      </c>
      <c r="C24" s="1">
        <f>$C$11*$C$16</f>
        <v>0</v>
      </c>
      <c r="D24" s="1">
        <f>$C$14*'Invul vel'!$F$15</f>
        <v>0</v>
      </c>
      <c r="E24" s="1">
        <f>$C$19*'Invul vel'!$F$16</f>
        <v>0</v>
      </c>
      <c r="F24" s="1">
        <f t="shared" ref="F24:F25" si="3">D24-B24</f>
        <v>0</v>
      </c>
      <c r="G24" s="1">
        <f t="shared" ref="G24" si="4">D24+E24-(C24+B24)</f>
        <v>0</v>
      </c>
      <c r="H24" s="1">
        <f t="shared" si="2"/>
        <v>0</v>
      </c>
      <c r="I24" s="17">
        <f t="shared" ref="I24:I25" si="5">G24-F24</f>
        <v>0</v>
      </c>
      <c r="J24" s="1">
        <f>Berekeningen!I24/12</f>
        <v>0</v>
      </c>
      <c r="K24" s="4">
        <f>($C$19*28)/365</f>
        <v>0</v>
      </c>
      <c r="L24" s="4">
        <f>(K24*365)/294.9</f>
        <v>0</v>
      </c>
      <c r="M24" s="4">
        <f>($C$19*99)/2500</f>
        <v>0</v>
      </c>
    </row>
    <row r="25" spans="2:13" x14ac:dyDescent="0.35">
      <c r="B25" s="1">
        <f>C14*SUM(K7:K8)</f>
        <v>0</v>
      </c>
      <c r="C25" s="1">
        <f>$C$11*$C$16</f>
        <v>0</v>
      </c>
      <c r="D25" s="1">
        <f>$C$14*'Invul vel'!$F$15</f>
        <v>0</v>
      </c>
      <c r="E25" s="1">
        <f>$C$19*'Invul vel'!$F$16</f>
        <v>0</v>
      </c>
      <c r="F25" s="1">
        <f t="shared" si="3"/>
        <v>0</v>
      </c>
      <c r="G25" s="1">
        <f>D25+E25-(C25+B25)</f>
        <v>0</v>
      </c>
      <c r="H25" s="1">
        <f t="shared" si="2"/>
        <v>0</v>
      </c>
      <c r="I25" s="17">
        <f t="shared" si="5"/>
        <v>0</v>
      </c>
      <c r="J25" s="1">
        <f>Berekeningen!I25/12</f>
        <v>0</v>
      </c>
      <c r="K25" s="4">
        <f>($C$19*28)/365</f>
        <v>0</v>
      </c>
      <c r="L25" s="4">
        <f>(K25*365)/294.9</f>
        <v>0</v>
      </c>
      <c r="M25" s="4">
        <f>($C$19*99)/2500</f>
        <v>0</v>
      </c>
    </row>
    <row r="26" spans="2:13" x14ac:dyDescent="0.35">
      <c r="B26" s="1"/>
      <c r="D26" s="1"/>
      <c r="E26" s="1"/>
      <c r="F26" s="1"/>
      <c r="G26" s="1"/>
      <c r="H26" s="1"/>
      <c r="I26" s="17"/>
      <c r="J26" s="1"/>
      <c r="K26" s="4"/>
      <c r="L26" s="4"/>
      <c r="M26" s="4"/>
    </row>
    <row r="27" spans="2:13" x14ac:dyDescent="0.35">
      <c r="D27" s="1"/>
      <c r="E27" s="1"/>
      <c r="F27" s="1"/>
      <c r="G27" s="1"/>
      <c r="H27" s="1"/>
      <c r="I27" s="17"/>
      <c r="J27" s="1"/>
      <c r="K27" s="4"/>
      <c r="L27" s="4"/>
      <c r="M27" s="4"/>
    </row>
    <row r="28" spans="2:13" x14ac:dyDescent="0.35">
      <c r="B28" t="s">
        <v>29</v>
      </c>
      <c r="D28" s="1"/>
      <c r="E28" s="1"/>
      <c r="F28" s="1"/>
      <c r="G28" s="1"/>
      <c r="H28" s="1"/>
      <c r="I28" s="17"/>
      <c r="J28" s="1"/>
      <c r="K28" s="4"/>
      <c r="L28" s="4"/>
      <c r="M28" s="4"/>
    </row>
    <row r="29" spans="2:13" x14ac:dyDescent="0.35">
      <c r="B29" t="s">
        <v>0</v>
      </c>
      <c r="C29" t="s">
        <v>16</v>
      </c>
      <c r="D29" t="s">
        <v>39</v>
      </c>
      <c r="E29" s="5" t="s">
        <v>40</v>
      </c>
      <c r="F29" t="s">
        <v>46</v>
      </c>
      <c r="G29" t="s">
        <v>48</v>
      </c>
      <c r="H29" t="s">
        <v>45</v>
      </c>
      <c r="I29" s="5" t="s">
        <v>19</v>
      </c>
      <c r="J29" t="s">
        <v>20</v>
      </c>
      <c r="K29" t="s">
        <v>21</v>
      </c>
      <c r="L29" t="s">
        <v>22</v>
      </c>
      <c r="M29" t="s">
        <v>23</v>
      </c>
    </row>
    <row r="30" spans="2:13" x14ac:dyDescent="0.35">
      <c r="B30" s="1">
        <f>C15*SUM(C7:C8)</f>
        <v>0</v>
      </c>
      <c r="C30" s="1">
        <f>$G$11*$C$16</f>
        <v>0</v>
      </c>
      <c r="D30" s="1">
        <f>$C$14*'Invul vel'!$F$15</f>
        <v>0</v>
      </c>
      <c r="E30" s="1">
        <f>$C$19*'Invul vel'!$F$16</f>
        <v>0</v>
      </c>
      <c r="F30" s="1">
        <f t="shared" ref="F30:F32" si="6">D30-B30</f>
        <v>0</v>
      </c>
      <c r="G30" s="1">
        <f t="shared" ref="G30:G32" si="7">D30+E30-(C30+B30)</f>
        <v>0</v>
      </c>
      <c r="H30" s="1">
        <f t="shared" ref="H30:H32" si="8">D30-B30</f>
        <v>0</v>
      </c>
      <c r="I30" s="17">
        <f t="shared" ref="I30:I32" si="9">G30-F30</f>
        <v>0</v>
      </c>
      <c r="J30" s="1">
        <f>Berekeningen!I30/12</f>
        <v>0</v>
      </c>
      <c r="K30" s="4">
        <f>($C$19*9)/365</f>
        <v>0</v>
      </c>
      <c r="L30" s="4">
        <f>(K30*365)/294.9</f>
        <v>0</v>
      </c>
      <c r="M30" s="4">
        <f>($C$19*99)/2500</f>
        <v>0</v>
      </c>
    </row>
    <row r="31" spans="2:13" x14ac:dyDescent="0.35">
      <c r="B31" s="1">
        <f>C15*SUM(G7:G8)</f>
        <v>0</v>
      </c>
      <c r="C31" s="1">
        <f>$G$11*$C$16</f>
        <v>0</v>
      </c>
      <c r="D31" s="1">
        <f>$C$14*'Invul vel'!$F$15</f>
        <v>0</v>
      </c>
      <c r="E31" s="1">
        <f>$C$19*'Invul vel'!$F$16</f>
        <v>0</v>
      </c>
      <c r="F31" s="1">
        <f t="shared" si="6"/>
        <v>0</v>
      </c>
      <c r="G31" s="1">
        <f t="shared" si="7"/>
        <v>0</v>
      </c>
      <c r="H31" s="1">
        <f t="shared" si="8"/>
        <v>0</v>
      </c>
      <c r="I31" s="17">
        <f t="shared" si="9"/>
        <v>0</v>
      </c>
      <c r="J31" s="1">
        <f>Berekeningen!I31/12</f>
        <v>0</v>
      </c>
      <c r="K31" s="4">
        <f>($C$19*9)/365</f>
        <v>0</v>
      </c>
      <c r="L31" s="4">
        <f>(K31*365)/294.9</f>
        <v>0</v>
      </c>
      <c r="M31" s="4">
        <f>($C$19*99)/2500</f>
        <v>0</v>
      </c>
    </row>
    <row r="32" spans="2:13" x14ac:dyDescent="0.35">
      <c r="B32" s="1">
        <f>C15*SUM(K7:K8)</f>
        <v>0</v>
      </c>
      <c r="C32" s="1">
        <f>$G$11*$C$16</f>
        <v>0</v>
      </c>
      <c r="D32" s="1">
        <f>$C$14*'Invul vel'!$F$15</f>
        <v>0</v>
      </c>
      <c r="E32" s="1">
        <f>$C$19*'Invul vel'!$F$16</f>
        <v>0</v>
      </c>
      <c r="F32" s="1">
        <f t="shared" si="6"/>
        <v>0</v>
      </c>
      <c r="G32" s="1">
        <f t="shared" si="7"/>
        <v>0</v>
      </c>
      <c r="H32" s="1">
        <f t="shared" si="8"/>
        <v>0</v>
      </c>
      <c r="I32" s="17">
        <f t="shared" si="9"/>
        <v>0</v>
      </c>
      <c r="J32" s="1">
        <f>Berekeningen!I32/12</f>
        <v>0</v>
      </c>
      <c r="K32" s="4">
        <f>($C$19*9)/365</f>
        <v>0</v>
      </c>
      <c r="L32" s="4">
        <f>(K32*365)/294.9</f>
        <v>0</v>
      </c>
      <c r="M32" s="4">
        <f>($C$19*99)/2500</f>
        <v>0</v>
      </c>
    </row>
    <row r="36" spans="6:8" x14ac:dyDescent="0.35">
      <c r="F36" s="1">
        <f>F23</f>
        <v>0</v>
      </c>
    </row>
    <row r="37" spans="6:8" x14ac:dyDescent="0.35">
      <c r="F37" s="1">
        <f t="shared" ref="F37:F38" si="10">F24</f>
        <v>0</v>
      </c>
      <c r="H37" s="1"/>
    </row>
    <row r="38" spans="6:8" x14ac:dyDescent="0.35">
      <c r="F38" s="1">
        <f t="shared" si="10"/>
        <v>0</v>
      </c>
    </row>
    <row r="39" spans="6:8" x14ac:dyDescent="0.35">
      <c r="F39" s="1">
        <f>E23-C23</f>
        <v>0</v>
      </c>
      <c r="H39" s="1"/>
    </row>
    <row r="40" spans="6:8" x14ac:dyDescent="0.35">
      <c r="F40" s="1">
        <f>E30-C30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7789-B66F-4633-9161-1333D257E833}">
  <dimension ref="A1:L13"/>
  <sheetViews>
    <sheetView workbookViewId="0">
      <selection activeCell="L28" sqref="L28"/>
    </sheetView>
  </sheetViews>
  <sheetFormatPr defaultRowHeight="14.5" x14ac:dyDescent="0.35"/>
  <sheetData>
    <row r="1" spans="1:12" x14ac:dyDescent="0.35">
      <c r="B1" s="3" t="s">
        <v>26</v>
      </c>
      <c r="F1" s="3" t="s">
        <v>27</v>
      </c>
      <c r="J1" s="3" t="s">
        <v>28</v>
      </c>
    </row>
    <row r="2" spans="1:12" x14ac:dyDescent="0.35">
      <c r="A2" t="s">
        <v>4</v>
      </c>
      <c r="B2" t="s">
        <v>1</v>
      </c>
      <c r="C2" t="s">
        <v>2</v>
      </c>
      <c r="D2" t="s">
        <v>3</v>
      </c>
      <c r="F2" t="s">
        <v>1</v>
      </c>
      <c r="G2" t="s">
        <v>2</v>
      </c>
      <c r="H2" t="s">
        <v>3</v>
      </c>
      <c r="J2" t="s">
        <v>1</v>
      </c>
      <c r="K2" t="s">
        <v>2</v>
      </c>
      <c r="L2" t="s">
        <v>3</v>
      </c>
    </row>
    <row r="3" spans="1:12" x14ac:dyDescent="0.35">
      <c r="A3" t="s">
        <v>7</v>
      </c>
      <c r="B3" t="s">
        <v>5</v>
      </c>
      <c r="C3" s="2">
        <v>864</v>
      </c>
      <c r="D3" t="s">
        <v>6</v>
      </c>
      <c r="F3" t="s">
        <v>5</v>
      </c>
      <c r="G3" s="2">
        <v>1416</v>
      </c>
      <c r="H3" t="s">
        <v>6</v>
      </c>
      <c r="J3" t="s">
        <v>5</v>
      </c>
      <c r="K3" s="2">
        <v>4044</v>
      </c>
      <c r="L3" t="s">
        <v>6</v>
      </c>
    </row>
    <row r="4" spans="1:12" x14ac:dyDescent="0.35">
      <c r="A4" t="s">
        <v>9</v>
      </c>
      <c r="B4" t="s">
        <v>8</v>
      </c>
      <c r="C4" s="2">
        <v>180</v>
      </c>
      <c r="D4" t="s">
        <v>6</v>
      </c>
      <c r="F4" t="s">
        <v>8</v>
      </c>
      <c r="G4" s="2">
        <v>180</v>
      </c>
      <c r="H4" t="s">
        <v>6</v>
      </c>
      <c r="J4" t="s">
        <v>8</v>
      </c>
      <c r="K4" s="2">
        <v>180</v>
      </c>
      <c r="L4" t="s">
        <v>6</v>
      </c>
    </row>
    <row r="5" spans="1:12" x14ac:dyDescent="0.35">
      <c r="A5" t="s">
        <v>9</v>
      </c>
      <c r="B5" t="s">
        <v>10</v>
      </c>
      <c r="C5" s="2">
        <v>360</v>
      </c>
      <c r="D5" t="s">
        <v>6</v>
      </c>
      <c r="F5" t="s">
        <v>10</v>
      </c>
      <c r="G5" s="2">
        <v>600</v>
      </c>
      <c r="H5" t="s">
        <v>6</v>
      </c>
      <c r="J5" t="s">
        <v>10</v>
      </c>
      <c r="K5" s="2">
        <v>900</v>
      </c>
      <c r="L5" t="s">
        <v>6</v>
      </c>
    </row>
    <row r="6" spans="1:12" x14ac:dyDescent="0.35">
      <c r="A6" t="s">
        <v>9</v>
      </c>
      <c r="B6" t="s">
        <v>11</v>
      </c>
      <c r="C6" s="2">
        <v>432</v>
      </c>
      <c r="D6" t="s">
        <v>6</v>
      </c>
      <c r="F6" t="s">
        <v>11</v>
      </c>
      <c r="G6" s="2">
        <v>720</v>
      </c>
      <c r="H6" t="s">
        <v>6</v>
      </c>
      <c r="J6" t="s">
        <v>11</v>
      </c>
      <c r="K6" s="2">
        <v>1080</v>
      </c>
      <c r="L6" t="s">
        <v>6</v>
      </c>
    </row>
    <row r="9" spans="1:12" x14ac:dyDescent="0.35">
      <c r="B9" s="3" t="s">
        <v>16</v>
      </c>
      <c r="F9" s="3" t="s">
        <v>25</v>
      </c>
    </row>
    <row r="10" spans="1:12" x14ac:dyDescent="0.35">
      <c r="A10" t="s">
        <v>4</v>
      </c>
      <c r="B10" t="s">
        <v>1</v>
      </c>
      <c r="C10" t="s">
        <v>2</v>
      </c>
      <c r="D10" t="s">
        <v>3</v>
      </c>
      <c r="F10" t="s">
        <v>1</v>
      </c>
      <c r="G10" t="s">
        <v>2</v>
      </c>
      <c r="H10" t="s">
        <v>3</v>
      </c>
    </row>
    <row r="11" spans="1:12" x14ac:dyDescent="0.35">
      <c r="A11" t="s">
        <v>9</v>
      </c>
      <c r="B11" t="s">
        <v>5</v>
      </c>
      <c r="C11" s="2">
        <v>108</v>
      </c>
      <c r="D11" t="s">
        <v>6</v>
      </c>
      <c r="F11" t="s">
        <v>5</v>
      </c>
      <c r="G11" s="2">
        <v>336</v>
      </c>
      <c r="H11" t="s">
        <v>6</v>
      </c>
    </row>
    <row r="12" spans="1:12" x14ac:dyDescent="0.35">
      <c r="A12" t="s">
        <v>9</v>
      </c>
      <c r="B12" t="s">
        <v>17</v>
      </c>
      <c r="C12" s="2">
        <v>60</v>
      </c>
      <c r="D12" t="s">
        <v>6</v>
      </c>
      <c r="F12" t="s">
        <v>17</v>
      </c>
      <c r="G12" s="2">
        <v>108</v>
      </c>
      <c r="H12" t="s">
        <v>6</v>
      </c>
    </row>
    <row r="13" spans="1:12" x14ac:dyDescent="0.35">
      <c r="A13" t="s">
        <v>9</v>
      </c>
      <c r="B13" t="s">
        <v>8</v>
      </c>
      <c r="C13" s="2">
        <v>36</v>
      </c>
      <c r="D13" t="s">
        <v>6</v>
      </c>
      <c r="F13" t="s">
        <v>8</v>
      </c>
      <c r="G13" s="2">
        <v>36</v>
      </c>
      <c r="H13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CBAD7-B9DC-43DC-8ACC-0C5BBE3CFBB4}">
  <dimension ref="B3:D13"/>
  <sheetViews>
    <sheetView topLeftCell="A2" zoomScale="70" zoomScaleNormal="70" workbookViewId="0">
      <selection activeCell="B24" sqref="B24"/>
    </sheetView>
  </sheetViews>
  <sheetFormatPr defaultColWidth="8.81640625" defaultRowHeight="14.5" x14ac:dyDescent="0.35"/>
  <cols>
    <col min="2" max="2" width="48.81640625" bestFit="1" customWidth="1"/>
    <col min="3" max="3" width="32.6328125" bestFit="1" customWidth="1"/>
    <col min="4" max="4" width="28.453125" bestFit="1" customWidth="1"/>
  </cols>
  <sheetData>
    <row r="3" spans="2:4" s="5" customFormat="1" x14ac:dyDescent="0.35">
      <c r="B3" s="5" t="s">
        <v>32</v>
      </c>
      <c r="C3" s="5" t="s">
        <v>19</v>
      </c>
    </row>
    <row r="4" spans="2:4" x14ac:dyDescent="0.35">
      <c r="B4" t="s">
        <v>30</v>
      </c>
      <c r="C4" s="1">
        <f>Berekeningen!I23</f>
        <v>0</v>
      </c>
    </row>
    <row r="5" spans="2:4" x14ac:dyDescent="0.35">
      <c r="B5" t="s">
        <v>33</v>
      </c>
      <c r="C5" s="1">
        <f>Berekeningen!I24</f>
        <v>0</v>
      </c>
    </row>
    <row r="6" spans="2:4" x14ac:dyDescent="0.35">
      <c r="B6" t="s">
        <v>31</v>
      </c>
      <c r="C6" s="1">
        <f>Berekeningen!I25</f>
        <v>0</v>
      </c>
    </row>
    <row r="7" spans="2:4" x14ac:dyDescent="0.35">
      <c r="C7" s="1"/>
    </row>
    <row r="8" spans="2:4" x14ac:dyDescent="0.35">
      <c r="C8" t="s">
        <v>22</v>
      </c>
    </row>
    <row r="9" spans="2:4" x14ac:dyDescent="0.35">
      <c r="B9" t="s">
        <v>34</v>
      </c>
      <c r="C9" s="4">
        <f>Berekeningen!L23</f>
        <v>0</v>
      </c>
      <c r="D9" s="4"/>
    </row>
    <row r="10" spans="2:4" x14ac:dyDescent="0.35">
      <c r="B10" t="s">
        <v>29</v>
      </c>
      <c r="C10" s="4">
        <f>Berekeningen!L30</f>
        <v>0</v>
      </c>
      <c r="D10" s="4"/>
    </row>
    <row r="11" spans="2:4" x14ac:dyDescent="0.35">
      <c r="C11" s="1"/>
    </row>
    <row r="12" spans="2:4" x14ac:dyDescent="0.35">
      <c r="C12" s="1"/>
    </row>
    <row r="13" spans="2:4" x14ac:dyDescent="0.35">
      <c r="C13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Invul vel</vt:lpstr>
      <vt:lpstr>Berekeningen</vt:lpstr>
      <vt:lpstr>Vaste kosten</vt:lpstr>
      <vt:lpstr>Invul tabel</vt:lpstr>
      <vt:lpstr>'Invul vel'!Afdrukbereik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Bats Nuismer</dc:creator>
  <cp:lastModifiedBy>Bats Nuismer (XTNT)</cp:lastModifiedBy>
  <dcterms:created xsi:type="dcterms:W3CDTF">2023-05-02T19:22:53Z</dcterms:created>
  <dcterms:modified xsi:type="dcterms:W3CDTF">2024-01-22T07:05:01Z</dcterms:modified>
</cp:coreProperties>
</file>